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2000" windowHeight="6252" tabRatio="426" activeTab="0"/>
  </bookViews>
  <sheets>
    <sheet name="КУ" sheetId="1" r:id="rId1"/>
    <sheet name="Лист1" sheetId="2" r:id="rId2"/>
  </sheets>
  <definedNames>
    <definedName name="_xlnm.Print_Area" localSheetId="0">'КУ'!$A$1:$AG$21</definedName>
  </definedNames>
  <calcPr fullCalcOnLoad="1" refMode="R1C1"/>
</workbook>
</file>

<file path=xl/sharedStrings.xml><?xml version="1.0" encoding="utf-8"?>
<sst xmlns="http://schemas.openxmlformats.org/spreadsheetml/2006/main" count="49" uniqueCount="48">
  <si>
    <t>Всего</t>
  </si>
  <si>
    <t>Наименование СП</t>
  </si>
  <si>
    <t xml:space="preserve">Бахмутский СП </t>
  </si>
  <si>
    <t xml:space="preserve">Ермолаевский СП </t>
  </si>
  <si>
    <t xml:space="preserve">Зяк-Ишметовский СП </t>
  </si>
  <si>
    <t xml:space="preserve">Илькинеевский СП </t>
  </si>
  <si>
    <t xml:space="preserve">Кривля-Илюшкинский СП </t>
  </si>
  <si>
    <t xml:space="preserve">Ленинский СП </t>
  </si>
  <si>
    <t xml:space="preserve">Мурапталовский СП </t>
  </si>
  <si>
    <t>Отрадинский СП</t>
  </si>
  <si>
    <t xml:space="preserve">Свободинский СП </t>
  </si>
  <si>
    <t xml:space="preserve">Таймасовский СП </t>
  </si>
  <si>
    <t xml:space="preserve">Шабагишский СП </t>
  </si>
  <si>
    <t xml:space="preserve">Якшимбетовский СП </t>
  </si>
  <si>
    <t>Местные</t>
  </si>
  <si>
    <t>Федеральные средства</t>
  </si>
  <si>
    <t>Дорожное хозяйство</t>
  </si>
  <si>
    <t>Реальные дела(наказы избирателей)</t>
  </si>
  <si>
    <t>Воинский учёт</t>
  </si>
  <si>
    <t>Местные средства самого сельсовета</t>
  </si>
  <si>
    <t>Коммунально хозяйство</t>
  </si>
  <si>
    <t>Пожарная безопасность</t>
  </si>
  <si>
    <t>благоустройтство</t>
  </si>
  <si>
    <t>Реконструкция очистных сооружений</t>
  </si>
  <si>
    <t>Субсидии на софинансирование ЗАРПЛАТЫ РАБОТНИКАМ КУЛЬТУРЫ</t>
  </si>
  <si>
    <t xml:space="preserve"> формирование современной городской среды</t>
  </si>
  <si>
    <t>реконструкция отчистных</t>
  </si>
  <si>
    <t>подготовка к осенне -зимнему периоду</t>
  </si>
  <si>
    <t>наружн. освещение</t>
  </si>
  <si>
    <t>ППМИ (физ.л)</t>
  </si>
  <si>
    <t>ППМИ (юр.л)</t>
  </si>
  <si>
    <t>Реальные дела</t>
  </si>
  <si>
    <t>Башкирские дворики</t>
  </si>
  <si>
    <t>Контейнеры</t>
  </si>
  <si>
    <t>ППМИ</t>
  </si>
  <si>
    <t>лучшее МО</t>
  </si>
  <si>
    <t>Итого:</t>
  </si>
  <si>
    <t xml:space="preserve">дорожный фонд </t>
  </si>
  <si>
    <t>Дор.фонд прошл.лет</t>
  </si>
  <si>
    <t>ком.хоз-во прошл.лет</t>
  </si>
  <si>
    <t>ком.хоз-во 2020</t>
  </si>
  <si>
    <t>Республиканский средства</t>
  </si>
  <si>
    <t>Мемориал</t>
  </si>
  <si>
    <t>Ремонт дома</t>
  </si>
  <si>
    <t>Обустройство контейнерных площадок</t>
  </si>
  <si>
    <t>Визуализ. парка</t>
  </si>
  <si>
    <t>ППМИ (МО)</t>
  </si>
  <si>
    <t>Сведения  об остатках  на лицевых счетах сельский поселений за 22 июня 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</si>
</sst>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1" fillId="0" borderId="0" xfId="0" applyNumberFormat="1" applyFont="1" applyFill="1" applyAlignment="1">
      <alignment horizontal="left" wrapText="1"/>
    </xf>
    <xf numFmtId="4" fontId="0" fillId="0" borderId="0" xfId="0" applyNumberFormat="1" applyFont="1" applyFill="1" applyAlignment="1">
      <alignment horizontal="left" wrapText="1"/>
    </xf>
    <xf numFmtId="0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4" fontId="4" fillId="0" borderId="0" xfId="0" applyNumberFormat="1" applyFont="1" applyFill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="50" zoomScaleNormal="50" zoomScaleSheetLayoutView="40" zoomScalePageLayoutView="0" workbookViewId="0" topLeftCell="A1">
      <selection activeCell="B16" sqref="B16"/>
    </sheetView>
  </sheetViews>
  <sheetFormatPr defaultColWidth="9.125" defaultRowHeight="12.75"/>
  <cols>
    <col min="1" max="1" width="26.125" style="2" customWidth="1"/>
    <col min="2" max="2" width="15.625" style="3" customWidth="1"/>
    <col min="3" max="3" width="21.00390625" style="3" customWidth="1"/>
    <col min="4" max="4" width="21.50390625" style="3" customWidth="1"/>
    <col min="5" max="5" width="0.5" style="3" hidden="1" customWidth="1"/>
    <col min="6" max="6" width="16.50390625" style="3" customWidth="1"/>
    <col min="7" max="7" width="17.00390625" style="3" customWidth="1"/>
    <col min="8" max="8" width="16.50390625" style="3" customWidth="1"/>
    <col min="9" max="9" width="0.5" style="3" hidden="1" customWidth="1"/>
    <col min="10" max="10" width="17.50390625" style="17" customWidth="1"/>
    <col min="11" max="11" width="18.00390625" style="17" customWidth="1"/>
    <col min="12" max="12" width="19.125" style="3" customWidth="1"/>
    <col min="13" max="13" width="16.00390625" style="3" customWidth="1"/>
    <col min="14" max="14" width="15.375" style="3" customWidth="1"/>
    <col min="15" max="15" width="0.37109375" style="3" customWidth="1"/>
    <col min="16" max="16" width="14.50390625" style="3" customWidth="1"/>
    <col min="17" max="17" width="15.625" style="3" customWidth="1"/>
    <col min="18" max="19" width="4.625" style="3" hidden="1" customWidth="1"/>
    <col min="20" max="20" width="5.50390625" style="3" hidden="1" customWidth="1"/>
    <col min="21" max="21" width="4.375" style="3" hidden="1" customWidth="1"/>
    <col min="22" max="22" width="0.37109375" style="3" customWidth="1"/>
    <col min="23" max="23" width="14.875" style="3" customWidth="1"/>
    <col min="24" max="24" width="12.625" style="17" customWidth="1"/>
    <col min="25" max="25" width="17.625" style="17" customWidth="1"/>
    <col min="26" max="26" width="15.50390625" style="23" customWidth="1"/>
    <col min="27" max="27" width="17.625" style="23" customWidth="1"/>
    <col min="28" max="28" width="0.12890625" style="23" customWidth="1"/>
    <col min="29" max="29" width="18.125" style="23" customWidth="1"/>
    <col min="30" max="30" width="19.125" style="1" customWidth="1"/>
    <col min="31" max="31" width="0.37109375" style="1" customWidth="1"/>
    <col min="32" max="32" width="21.00390625" style="1" customWidth="1"/>
    <col min="33" max="33" width="15.00390625" style="1" customWidth="1"/>
    <col min="34" max="16384" width="9.125" style="1" customWidth="1"/>
  </cols>
  <sheetData>
    <row r="1" spans="1:33" ht="55.5" customHeight="1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2" ht="39.75" customHeight="1">
      <c r="A2" s="37" t="s">
        <v>1</v>
      </c>
      <c r="B2" s="39" t="s">
        <v>0</v>
      </c>
      <c r="C2" s="42" t="s">
        <v>14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3" t="s">
        <v>41</v>
      </c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1"/>
      <c r="AE2" s="40" t="s">
        <v>15</v>
      </c>
      <c r="AF2" s="41"/>
    </row>
    <row r="3" spans="1:32" ht="132" customHeight="1">
      <c r="A3" s="38"/>
      <c r="B3" s="38"/>
      <c r="C3" s="24" t="s">
        <v>19</v>
      </c>
      <c r="D3" s="24" t="s">
        <v>40</v>
      </c>
      <c r="E3" s="24" t="s">
        <v>39</v>
      </c>
      <c r="F3" s="24" t="s">
        <v>46</v>
      </c>
      <c r="G3" s="24" t="s">
        <v>29</v>
      </c>
      <c r="H3" s="24" t="s">
        <v>30</v>
      </c>
      <c r="I3" s="24" t="s">
        <v>38</v>
      </c>
      <c r="J3" s="25" t="s">
        <v>37</v>
      </c>
      <c r="K3" s="25" t="s">
        <v>45</v>
      </c>
      <c r="L3" s="24" t="s">
        <v>44</v>
      </c>
      <c r="M3" s="24" t="s">
        <v>42</v>
      </c>
      <c r="N3" s="10" t="s">
        <v>43</v>
      </c>
      <c r="O3" s="18" t="s">
        <v>24</v>
      </c>
      <c r="P3" s="13" t="s">
        <v>23</v>
      </c>
      <c r="Q3" s="29" t="s">
        <v>34</v>
      </c>
      <c r="R3" s="20" t="s">
        <v>32</v>
      </c>
      <c r="S3" s="10" t="s">
        <v>25</v>
      </c>
      <c r="T3" s="30" t="s">
        <v>31</v>
      </c>
      <c r="U3" s="20" t="s">
        <v>35</v>
      </c>
      <c r="V3" s="24" t="s">
        <v>28</v>
      </c>
      <c r="W3" s="31" t="s">
        <v>33</v>
      </c>
      <c r="X3" s="26" t="s">
        <v>21</v>
      </c>
      <c r="Y3" s="19" t="s">
        <v>22</v>
      </c>
      <c r="Z3" s="27" t="s">
        <v>16</v>
      </c>
      <c r="AA3" s="27" t="s">
        <v>26</v>
      </c>
      <c r="AB3" s="27" t="s">
        <v>27</v>
      </c>
      <c r="AC3" s="20" t="s">
        <v>20</v>
      </c>
      <c r="AD3" s="10" t="s">
        <v>17</v>
      </c>
      <c r="AE3" s="10" t="s">
        <v>25</v>
      </c>
      <c r="AF3" s="11" t="s">
        <v>18</v>
      </c>
    </row>
    <row r="4" spans="1:32" s="23" customFormat="1" ht="51" customHeight="1">
      <c r="A4" s="33" t="s">
        <v>2</v>
      </c>
      <c r="B4" s="6">
        <v>351615.07</v>
      </c>
      <c r="C4" s="6">
        <f>B4-D4-G4-H4-J4-M4-N4-P4-Q4-W4-X4-Y4-Z4-AA4-AC4-AD4-AF4</f>
        <v>12559.860000000082</v>
      </c>
      <c r="D4" s="6">
        <f>50000-23458.21</f>
        <v>26541.79</v>
      </c>
      <c r="E4" s="6">
        <v>0</v>
      </c>
      <c r="F4" s="6"/>
      <c r="G4" s="6"/>
      <c r="H4" s="6"/>
      <c r="I4" s="6">
        <v>0</v>
      </c>
      <c r="J4" s="6">
        <f>0-22000-28500+100000-40500+100000-15000-62000-14400+208000-46000-99000-22500-36273.57-15000+100000-79901.46-5068.39</f>
        <v>21856.579999999987</v>
      </c>
      <c r="K4" s="6"/>
      <c r="L4" s="6"/>
      <c r="M4" s="6"/>
      <c r="N4" s="6"/>
      <c r="O4" s="6"/>
      <c r="P4" s="6"/>
      <c r="Q4" s="6">
        <f>655680-631236-24444</f>
        <v>0</v>
      </c>
      <c r="R4" s="6"/>
      <c r="S4" s="6"/>
      <c r="T4" s="6">
        <f>90000-90000</f>
        <v>0</v>
      </c>
      <c r="U4" s="6">
        <f>275000-106600-21120-43160-86140-11600-6380</f>
        <v>0</v>
      </c>
      <c r="V4" s="6"/>
      <c r="W4" s="6">
        <f>50000+50000</f>
        <v>100000</v>
      </c>
      <c r="X4" s="6">
        <f>20000-2750-3760-2930-6140-4420+20000-7310-12690+35000-7310-27690+35000-14620-7310-7310-2400-3360+30000-14620</f>
        <v>15380</v>
      </c>
      <c r="Y4" s="28">
        <f>100000+95000-18974.64-157181.83-17818.17</f>
        <v>1025.3600000000006</v>
      </c>
      <c r="Z4" s="7">
        <f>25000-5424</f>
        <v>19576</v>
      </c>
      <c r="AA4" s="7"/>
      <c r="AB4" s="7"/>
      <c r="AC4" s="7">
        <f>10000-10000+10000-10000</f>
        <v>0</v>
      </c>
      <c r="AD4" s="6">
        <f>170000-18000-7000</f>
        <v>145000</v>
      </c>
      <c r="AE4" s="6"/>
      <c r="AF4" s="7">
        <f>23000-7264.91-7264.89-7264.91+23000-7264.91-7264.9</f>
        <v>9675.480000000001</v>
      </c>
    </row>
    <row r="5" spans="1:32" s="23" customFormat="1" ht="49.5" customHeight="1">
      <c r="A5" s="33" t="s">
        <v>3</v>
      </c>
      <c r="B5" s="6">
        <v>16514951.09</v>
      </c>
      <c r="C5" s="6">
        <f>B5-D5-G5-H5-J5-M5-N5-P5-Q5-W5-X5-Y5-Z5-AA5-AC5-AD5-AF5-L5-K5</f>
        <v>56738.76000000071</v>
      </c>
      <c r="D5" s="6">
        <f>100000-18052-29101</f>
        <v>52847</v>
      </c>
      <c r="E5" s="6">
        <v>0</v>
      </c>
      <c r="F5" s="6"/>
      <c r="G5" s="6"/>
      <c r="H5" s="6"/>
      <c r="I5" s="6">
        <v>0</v>
      </c>
      <c r="J5" s="6">
        <f>0-59700+500000-238400-230920-30000+500000-52812-123050-12750.18-187207.96+1885000-40500-472665-56312.26-127630.4-214000-36050-92412.04-94332.97-38863.8-657500-110000+806000-260159.64-48600-358617.05-120750-13600-8096.82-767.14+813000-725742.07-28800-28800-10690-3912-121139.06+980000-121139.06-134597.32-602174.04</f>
        <v>21309.189999999944</v>
      </c>
      <c r="K5" s="6">
        <f>210114</f>
        <v>210114</v>
      </c>
      <c r="L5" s="6">
        <f>1000000</f>
        <v>1000000</v>
      </c>
      <c r="M5" s="6">
        <f>388000-236870.99</f>
        <v>151129.01</v>
      </c>
      <c r="N5" s="6">
        <f>1367000-175772-20129.6-257712-274867-181360-389659.96-67499.44</f>
        <v>-1.1641532182693481E-10</v>
      </c>
      <c r="O5" s="6">
        <f>30578-30578+30578-30578</f>
        <v>0</v>
      </c>
      <c r="P5" s="6">
        <f>208950</f>
        <v>208950</v>
      </c>
      <c r="Q5" s="6">
        <f>707800</f>
        <v>707800</v>
      </c>
      <c r="R5" s="6"/>
      <c r="S5" s="6">
        <f>49538.3+18268.58-6532.15-17659.16-25346.99+13171.3-22014.12-4621.32-4804.43+5696.85-5696.85+35862.5-35862.5+777.91-777.92</f>
        <v>9.322320693172514E-12</v>
      </c>
      <c r="T5" s="6">
        <f>160000-160000</f>
        <v>0</v>
      </c>
      <c r="U5" s="6"/>
      <c r="V5" s="6"/>
      <c r="W5" s="6">
        <f>75000+75000-55200</f>
        <v>94800</v>
      </c>
      <c r="X5" s="6">
        <v>0</v>
      </c>
      <c r="Y5" s="6">
        <f>150000+50000-12520-56750-62000-11885.19-19119.81-18185-810-12000</f>
        <v>6730</v>
      </c>
      <c r="Z5" s="7">
        <f>100000+100000-98872-98485+100000-85000+100000-117643+100000-98750</f>
        <v>1250</v>
      </c>
      <c r="AA5" s="7">
        <f>9720000+4000000</f>
        <v>13720000</v>
      </c>
      <c r="AB5" s="7">
        <f>2419900-2419900</f>
        <v>0</v>
      </c>
      <c r="AC5" s="7">
        <v>0</v>
      </c>
      <c r="AD5" s="6">
        <f>215300-18000-7000</f>
        <v>190300</v>
      </c>
      <c r="AE5" s="6">
        <f>2427376.75+895160.22-320075.28-865298.86-1242002.6+645393.97-1078691.98-226444.9-235417.32+279145.45-279145.45+1757262.5-1757262.5+38117.67-38117.67</f>
        <v>-4.656612873077393E-10</v>
      </c>
      <c r="AF5" s="7">
        <f>114600-27243.38-27243.37-27243.37+114600-27243.37-27243.38</f>
        <v>92983.13</v>
      </c>
    </row>
    <row r="6" spans="1:32" ht="48.75" customHeight="1">
      <c r="A6" s="32" t="s">
        <v>4</v>
      </c>
      <c r="B6" s="6">
        <v>655088.47</v>
      </c>
      <c r="C6" s="6">
        <f aca="true" t="shared" si="0" ref="C6:C14">B6-D6-G6-H6-J6-M6-N6-P6-Q6-W6-X6-Y6-Z6-AA6-AC6-AD6-AF6</f>
        <v>399767.6</v>
      </c>
      <c r="D6" s="6">
        <f>50000-36100-10400</f>
        <v>3500</v>
      </c>
      <c r="E6" s="6">
        <v>0</v>
      </c>
      <c r="F6" s="6"/>
      <c r="G6" s="6"/>
      <c r="H6" s="6"/>
      <c r="I6" s="6">
        <v>0</v>
      </c>
      <c r="J6" s="6">
        <f>0-68000+100000-32000+100000-100000+84000-84000+65000-65000</f>
        <v>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f>50000+50000</f>
        <v>100000</v>
      </c>
      <c r="X6" s="6">
        <f>5000-5000+5000-5000+10000</f>
        <v>10000</v>
      </c>
      <c r="Y6" s="6">
        <f>50000+85000-18060-11988-7278-9928.6</f>
        <v>87745.4</v>
      </c>
      <c r="Z6" s="7">
        <f>75000-35000</f>
        <v>40000</v>
      </c>
      <c r="AA6" s="7"/>
      <c r="AB6" s="7"/>
      <c r="AC6" s="7">
        <f>55000-55000+35000-35000+50000-50000+40000-38000-2000+40000-40000+85000-13111-21800-18200-18000-13889+70000-30000-40000+30000-25600</f>
        <v>4400</v>
      </c>
      <c r="AD6" s="6">
        <f>25000+135000-18000-7000-135000</f>
        <v>0</v>
      </c>
      <c r="AE6" s="6"/>
      <c r="AF6" s="7">
        <f>23000-7264.9-7264.91-7264.91+23000-7264.9-7264.91</f>
        <v>9675.469999999998</v>
      </c>
    </row>
    <row r="7" spans="1:32" ht="47.25" customHeight="1">
      <c r="A7" s="32" t="s">
        <v>5</v>
      </c>
      <c r="B7" s="6">
        <v>161076.14</v>
      </c>
      <c r="C7" s="6">
        <f t="shared" si="0"/>
        <v>78807.42</v>
      </c>
      <c r="D7" s="6">
        <f>50000-33379.84</f>
        <v>16620.160000000003</v>
      </c>
      <c r="E7" s="6">
        <v>0</v>
      </c>
      <c r="F7" s="6"/>
      <c r="G7" s="6"/>
      <c r="H7" s="6"/>
      <c r="I7" s="6">
        <v>0</v>
      </c>
      <c r="J7" s="6">
        <f>0-15000-40000+100000-45000-4384.95+100000-60000-15000-20615-17000+42000-25000+70000-70000</f>
        <v>0.05000000000291038</v>
      </c>
      <c r="K7" s="6"/>
      <c r="L7" s="6"/>
      <c r="M7" s="6"/>
      <c r="N7" s="6"/>
      <c r="O7" s="6"/>
      <c r="P7" s="6"/>
      <c r="Q7" s="6">
        <f>-219983+219983</f>
        <v>0</v>
      </c>
      <c r="R7" s="6"/>
      <c r="S7" s="6"/>
      <c r="T7" s="6">
        <f>180000-180000</f>
        <v>0</v>
      </c>
      <c r="U7" s="6"/>
      <c r="V7" s="6"/>
      <c r="W7" s="6">
        <f>50000+50000-30876-39982</f>
        <v>29142</v>
      </c>
      <c r="X7" s="6">
        <f>5000</f>
        <v>5000</v>
      </c>
      <c r="Y7" s="6">
        <f>30000+30000-30000-15169</f>
        <v>14831</v>
      </c>
      <c r="Z7" s="7">
        <f>50000+55000-14000-36000-13000-35000</f>
        <v>7000</v>
      </c>
      <c r="AA7" s="7"/>
      <c r="AB7" s="7"/>
      <c r="AC7" s="7">
        <f>40000+40000-41004-38996</f>
        <v>0</v>
      </c>
      <c r="AD7" s="6">
        <f>25000+145000-18000-7000-145000</f>
        <v>0</v>
      </c>
      <c r="AE7" s="6"/>
      <c r="AF7" s="7">
        <f>23000-7264.88-7264.91-7264.9+23000-7264.91-7264.89</f>
        <v>9675.509999999998</v>
      </c>
    </row>
    <row r="8" spans="1:32" ht="55.5" customHeight="1">
      <c r="A8" s="32" t="s">
        <v>6</v>
      </c>
      <c r="B8" s="6">
        <v>492579.06</v>
      </c>
      <c r="C8" s="6">
        <f t="shared" si="0"/>
        <v>263453.58</v>
      </c>
      <c r="D8" s="6">
        <f>50000-46000</f>
        <v>4000</v>
      </c>
      <c r="E8" s="6">
        <v>0</v>
      </c>
      <c r="F8" s="6"/>
      <c r="G8" s="6"/>
      <c r="H8" s="6"/>
      <c r="I8" s="6">
        <v>0</v>
      </c>
      <c r="J8" s="6">
        <f>0-65000+100000+100000-92500-42500+126000-102700+150000-30000-5000-95000-30000-600+93000-92500</f>
        <v>13200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f>50000+50000</f>
        <v>100000</v>
      </c>
      <c r="X8" s="6">
        <f>10000+10000-20000+10000-10000+10000-10000+30000-30000+5000</f>
        <v>5000</v>
      </c>
      <c r="Y8" s="6">
        <f>60000+40000-7750</f>
        <v>92250</v>
      </c>
      <c r="Z8" s="7">
        <f>65000+50000-65000-50000</f>
        <v>0</v>
      </c>
      <c r="AA8" s="7"/>
      <c r="AB8" s="7"/>
      <c r="AC8" s="7">
        <f>44000+30000-24000-50000+30000-30000+44000-44000+30000-7500-22500+30000-25000</f>
        <v>5000</v>
      </c>
      <c r="AD8" s="6">
        <f>25000-18000-7000</f>
        <v>0</v>
      </c>
      <c r="AE8" s="6"/>
      <c r="AF8" s="7">
        <f>23000-7264.9-7264.91-7264.9+23000-7264.9-7264.91</f>
        <v>9675.48</v>
      </c>
    </row>
    <row r="9" spans="1:32" s="23" customFormat="1" ht="40.5" customHeight="1">
      <c r="A9" s="33" t="s">
        <v>7</v>
      </c>
      <c r="B9" s="6">
        <v>254665.18</v>
      </c>
      <c r="C9" s="6">
        <f t="shared" si="0"/>
        <v>-69359.94000000002</v>
      </c>
      <c r="D9" s="6">
        <f>50000</f>
        <v>50000</v>
      </c>
      <c r="E9" s="6">
        <v>0</v>
      </c>
      <c r="F9" s="6"/>
      <c r="G9" s="6"/>
      <c r="H9" s="6"/>
      <c r="I9" s="6">
        <v>0</v>
      </c>
      <c r="J9" s="6">
        <f>0+100000+100000-50000-35000-35000+42000-20000+60000-60000-30000</f>
        <v>72000</v>
      </c>
      <c r="K9" s="6"/>
      <c r="L9" s="6"/>
      <c r="M9" s="6"/>
      <c r="N9" s="6"/>
      <c r="O9" s="6"/>
      <c r="P9" s="6"/>
      <c r="Q9" s="6">
        <f>330000-304221-25779</f>
        <v>0</v>
      </c>
      <c r="R9" s="6"/>
      <c r="S9" s="6"/>
      <c r="T9" s="6"/>
      <c r="U9" s="6"/>
      <c r="V9" s="6"/>
      <c r="W9" s="6">
        <f>50000+50000</f>
        <v>100000</v>
      </c>
      <c r="X9" s="6">
        <f>5000+10000-9255+10000+5000-20745+10000</f>
        <v>10000</v>
      </c>
      <c r="Y9" s="6">
        <f>90000+60000-99000-4431.98-4431.98-16036.42</f>
        <v>26099.62000000001</v>
      </c>
      <c r="Z9" s="7">
        <f>35000+50000-33750</f>
        <v>51250</v>
      </c>
      <c r="AA9" s="7"/>
      <c r="AB9" s="7"/>
      <c r="AC9" s="7">
        <f>10000-10000+5000+10000-15000+5000</f>
        <v>5000</v>
      </c>
      <c r="AD9" s="6">
        <f>25000-18000-7000</f>
        <v>0</v>
      </c>
      <c r="AE9" s="6"/>
      <c r="AF9" s="7">
        <f>23000-7264.9-7264.89-7264.91+23000-7264.91-7264.89</f>
        <v>9675.5</v>
      </c>
    </row>
    <row r="10" spans="1:32" s="23" customFormat="1" ht="39" customHeight="1">
      <c r="A10" s="33" t="s">
        <v>8</v>
      </c>
      <c r="B10" s="6">
        <v>318067.09</v>
      </c>
      <c r="C10" s="6">
        <f t="shared" si="0"/>
        <v>-116619.73999999998</v>
      </c>
      <c r="D10" s="6">
        <f>297000+50000-89100-21000</f>
        <v>236900</v>
      </c>
      <c r="E10" s="6">
        <v>0</v>
      </c>
      <c r="F10" s="6"/>
      <c r="G10" s="6"/>
      <c r="H10" s="6"/>
      <c r="I10" s="6">
        <v>0</v>
      </c>
      <c r="J10" s="6">
        <f>0-100000+100000-95600+100000+210000-210000+150000-154400</f>
        <v>0</v>
      </c>
      <c r="K10" s="6"/>
      <c r="L10" s="6"/>
      <c r="M10" s="6"/>
      <c r="N10" s="6"/>
      <c r="O10" s="6">
        <f>26569-26569+26569-26569</f>
        <v>0</v>
      </c>
      <c r="P10" s="6"/>
      <c r="Q10" s="6">
        <f>800000-696000-104000</f>
        <v>0</v>
      </c>
      <c r="R10" s="6"/>
      <c r="S10" s="6"/>
      <c r="T10" s="6"/>
      <c r="U10" s="6"/>
      <c r="V10" s="6">
        <f>1085678-1085678</f>
        <v>0</v>
      </c>
      <c r="W10" s="6">
        <f>150000-150000+50000-32500-17500+125000</f>
        <v>125000</v>
      </c>
      <c r="X10" s="6">
        <f>35000-2610-7626+35000-11439-11439-11439-11439+35000-15167.06-11439-11439-8829-2133.94+35000+476.06+14214.94-11439-11439-26813</f>
        <v>0</v>
      </c>
      <c r="Y10" s="6">
        <f>90000-90000+40000-30000-10000+90000-39818.03-50181.97+45000-10000-16648.94-3184-1370-13797.06+15167.06-15000+90000-15167.06-42507-7904-20000-4589+50000-26400-20700</f>
        <v>2900</v>
      </c>
      <c r="Z10" s="7">
        <f>175000-144600-17729.81-3487</f>
        <v>9183.189999999999</v>
      </c>
      <c r="AA10" s="7"/>
      <c r="AB10" s="7"/>
      <c r="AC10" s="7">
        <f>45000-45000+45000-45000+45000-45000</f>
        <v>0</v>
      </c>
      <c r="AD10" s="6">
        <f>25000-25000</f>
        <v>0</v>
      </c>
      <c r="AE10" s="6"/>
      <c r="AF10" s="7">
        <f>57400-11003.12-10747.24+57400-10747.23-21598.77</f>
        <v>60703.64</v>
      </c>
    </row>
    <row r="11" spans="1:32" s="23" customFormat="1" ht="55.5" customHeight="1">
      <c r="A11" s="33" t="s">
        <v>9</v>
      </c>
      <c r="B11" s="6">
        <v>1327654.33</v>
      </c>
      <c r="C11" s="6">
        <f t="shared" si="0"/>
        <v>282557.1200000001</v>
      </c>
      <c r="D11" s="6">
        <f>50000+100000-9532.5-6636+40000</f>
        <v>173831.5</v>
      </c>
      <c r="E11" s="6">
        <v>0</v>
      </c>
      <c r="F11" s="6"/>
      <c r="G11" s="6">
        <v>112500</v>
      </c>
      <c r="H11" s="6">
        <f>53425</f>
        <v>53425</v>
      </c>
      <c r="I11" s="6">
        <v>0</v>
      </c>
      <c r="J11" s="6">
        <f>0-12000+100000+100000-96250-90000+80000-20000-12000+150000-97500-95000+111000-110500</f>
        <v>7750</v>
      </c>
      <c r="K11" s="6"/>
      <c r="L11" s="6"/>
      <c r="M11" s="6"/>
      <c r="N11" s="6"/>
      <c r="O11" s="6"/>
      <c r="P11" s="6"/>
      <c r="Q11" s="6">
        <f>432400</f>
        <v>432400</v>
      </c>
      <c r="R11" s="6"/>
      <c r="S11" s="6"/>
      <c r="T11" s="6">
        <f>170000-99991.2-70008.8</f>
        <v>0</v>
      </c>
      <c r="U11" s="6"/>
      <c r="V11" s="6"/>
      <c r="W11" s="6">
        <f>40000+50000</f>
        <v>90000</v>
      </c>
      <c r="X11" s="6">
        <f>5000-5000+5000-5000+5000+5000-3155.18-6844.82+20000</f>
        <v>20000</v>
      </c>
      <c r="Y11" s="6">
        <f>30000+105000-20636.24-15887.5-26761.02-13200</f>
        <v>58515.23999999999</v>
      </c>
      <c r="Z11" s="7">
        <f>15000</f>
        <v>15000</v>
      </c>
      <c r="AA11" s="7"/>
      <c r="AB11" s="7"/>
      <c r="AC11" s="7">
        <f>90000-18000</f>
        <v>72000</v>
      </c>
      <c r="AD11" s="6">
        <f>25000+105000-25000-80000-25000</f>
        <v>0</v>
      </c>
      <c r="AE11" s="6"/>
      <c r="AF11" s="7">
        <f>23000-7264.9-7264.91-7264.91+23000-7264.9-7264.91</f>
        <v>9675.469999999998</v>
      </c>
    </row>
    <row r="12" spans="1:32" s="23" customFormat="1" ht="51.75" customHeight="1">
      <c r="A12" s="33" t="s">
        <v>10</v>
      </c>
      <c r="B12" s="6">
        <v>657256.54</v>
      </c>
      <c r="C12" s="6">
        <f t="shared" si="0"/>
        <v>389508.16000000003</v>
      </c>
      <c r="D12" s="6">
        <f>50000-16000</f>
        <v>34000</v>
      </c>
      <c r="E12" s="6">
        <v>0</v>
      </c>
      <c r="F12" s="6"/>
      <c r="G12" s="6"/>
      <c r="H12" s="6"/>
      <c r="I12" s="6">
        <v>0</v>
      </c>
      <c r="J12" s="6">
        <f>0+100000+100000-24000-18000-103411.66-7602.59+42000-68000+100000-40500-8000-14000-80000+30000</f>
        <v>8485.75</v>
      </c>
      <c r="K12" s="6"/>
      <c r="L12" s="6"/>
      <c r="M12" s="6"/>
      <c r="N12" s="6"/>
      <c r="O12" s="6">
        <f>25883-25883+25883-25883</f>
        <v>0</v>
      </c>
      <c r="P12" s="6"/>
      <c r="Q12" s="6">
        <f>308000-308000</f>
        <v>0</v>
      </c>
      <c r="R12" s="6"/>
      <c r="S12" s="6"/>
      <c r="T12" s="6"/>
      <c r="U12" s="6"/>
      <c r="V12" s="6"/>
      <c r="W12" s="6">
        <f>50000+50000</f>
        <v>100000</v>
      </c>
      <c r="X12" s="6">
        <f>5000+5000</f>
        <v>10000</v>
      </c>
      <c r="Y12" s="6">
        <f>50000+40000-49550-14426.79</f>
        <v>26023.21</v>
      </c>
      <c r="Z12" s="7">
        <f>70000+50000-28100-30000</f>
        <v>61900</v>
      </c>
      <c r="AA12" s="7"/>
      <c r="AB12" s="7"/>
      <c r="AC12" s="7">
        <f>54000-32800+30000-21200-30000+20000-20000+45000-45000+35000-35000+45000-45000+30000-16000</f>
        <v>14000</v>
      </c>
      <c r="AD12" s="6">
        <f>25000-18000-7000</f>
        <v>0</v>
      </c>
      <c r="AE12" s="6"/>
      <c r="AF12" s="7">
        <f>23000-7264.9-7264.9-7264.89+23000-7264.9-3600.99</f>
        <v>13339.420000000004</v>
      </c>
    </row>
    <row r="13" spans="1:32" s="23" customFormat="1" ht="39.75" customHeight="1">
      <c r="A13" s="33" t="s">
        <v>11</v>
      </c>
      <c r="B13" s="6">
        <v>914967.94</v>
      </c>
      <c r="C13" s="6">
        <f>B13-D13-F13-G13-H13-J13-M13-N13-P13-Q13-W13-X13-Y13-Z13-AA13-AC13-AD13-AF13</f>
        <v>91696.04999999992</v>
      </c>
      <c r="D13" s="6">
        <f>50000-5846.6-1997-10000</f>
        <v>32156.4</v>
      </c>
      <c r="E13" s="6">
        <v>0</v>
      </c>
      <c r="F13" s="6">
        <f>73500</f>
        <v>73500</v>
      </c>
      <c r="G13" s="6"/>
      <c r="H13" s="6"/>
      <c r="I13" s="6">
        <v>0</v>
      </c>
      <c r="J13" s="6">
        <f>0+100000-88000+100000+84000-112000+90000-112000-3550</f>
        <v>58450</v>
      </c>
      <c r="K13" s="6"/>
      <c r="L13" s="6"/>
      <c r="M13" s="6"/>
      <c r="N13" s="6"/>
      <c r="O13" s="6"/>
      <c r="P13" s="6"/>
      <c r="Q13" s="6">
        <f>369490</f>
        <v>369490</v>
      </c>
      <c r="R13" s="6"/>
      <c r="S13" s="6"/>
      <c r="T13" s="6">
        <f>159000-159000</f>
        <v>0</v>
      </c>
      <c r="U13" s="6"/>
      <c r="V13" s="6"/>
      <c r="W13" s="6">
        <f>50000+50000</f>
        <v>100000</v>
      </c>
      <c r="X13" s="6">
        <f>5000</f>
        <v>5000</v>
      </c>
      <c r="Y13" s="6">
        <f>40000+30000</f>
        <v>70000</v>
      </c>
      <c r="Z13" s="7">
        <f>50000+55000</f>
        <v>105000</v>
      </c>
      <c r="AA13" s="7"/>
      <c r="AB13" s="7"/>
      <c r="AC13" s="7">
        <f>30000+40000-70000</f>
        <v>0</v>
      </c>
      <c r="AD13" s="6">
        <f>25000+145000-25000-145000</f>
        <v>0</v>
      </c>
      <c r="AE13" s="6"/>
      <c r="AF13" s="7">
        <f>23000-7264.92-7264.89-7264.9+23000-7264.89-7264.91</f>
        <v>9675.490000000002</v>
      </c>
    </row>
    <row r="14" spans="1:32" s="23" customFormat="1" ht="43.5" customHeight="1">
      <c r="A14" s="33" t="s">
        <v>12</v>
      </c>
      <c r="B14" s="35">
        <v>634775.73</v>
      </c>
      <c r="C14" s="6">
        <f t="shared" si="0"/>
        <v>460969.76</v>
      </c>
      <c r="D14" s="6">
        <f>50000-21909.48-10954.74-7303.16-3651.58-6151.58-37400+114400-52000</f>
        <v>25029.459999999992</v>
      </c>
      <c r="E14" s="6">
        <v>0</v>
      </c>
      <c r="F14" s="6"/>
      <c r="G14" s="6"/>
      <c r="H14" s="6"/>
      <c r="I14" s="6">
        <v>0</v>
      </c>
      <c r="J14" s="6">
        <f>0-100000+100000+100000-18500-8000.33-1195-2022.98-468.96-5811.66+252000-115500-103500-11687.27-17670+150000-10695-60000-59500-16545.42-28000-11687.27-5000+142000-124000-10226.46-1392</f>
        <v>32597.649999999987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f>25000+75000</f>
        <v>100000</v>
      </c>
      <c r="X14" s="6">
        <f>20000-13380+20000-7430-8035.27-11154.73</f>
        <v>0</v>
      </c>
      <c r="Y14" s="6">
        <f>65000+100000-11891-9876-9390-14714-111350-3450</f>
        <v>4329</v>
      </c>
      <c r="Z14" s="7">
        <f>35000-22000-13000</f>
        <v>0</v>
      </c>
      <c r="AA14" s="7"/>
      <c r="AB14" s="7"/>
      <c r="AC14" s="7">
        <f>50000-41053-7200</f>
        <v>1747</v>
      </c>
      <c r="AD14" s="6">
        <v>0</v>
      </c>
      <c r="AE14" s="6"/>
      <c r="AF14" s="7">
        <f>23000-6837.55-7264.89-7264.9+23000-7264.9-7264.9</f>
        <v>10102.860000000002</v>
      </c>
    </row>
    <row r="15" spans="1:32" s="23" customFormat="1" ht="45.75" customHeight="1">
      <c r="A15" s="33" t="s">
        <v>13</v>
      </c>
      <c r="B15" s="6">
        <v>69252.28</v>
      </c>
      <c r="C15" s="6">
        <f>B15-D15-G15-H15-J15-M15-N15-P15-Q15-W15-X15-Y15-Z15-AA15-AC15-AD15-AF15</f>
        <v>-202984.21999999997</v>
      </c>
      <c r="D15" s="6">
        <f>50000+50000+150000-50000-45396-4050-146400</f>
        <v>4154</v>
      </c>
      <c r="E15" s="6">
        <v>0</v>
      </c>
      <c r="F15" s="6"/>
      <c r="G15" s="6"/>
      <c r="H15" s="6"/>
      <c r="I15" s="6">
        <v>0</v>
      </c>
      <c r="J15" s="6">
        <f>0+100000+100000-116200-78400+392000-309404.9-86700+150000-42900-85000-22100+241000-240601.35</f>
        <v>1693.749999999971</v>
      </c>
      <c r="K15" s="6"/>
      <c r="L15" s="6"/>
      <c r="M15" s="6"/>
      <c r="N15" s="6"/>
      <c r="O15" s="6"/>
      <c r="P15" s="6"/>
      <c r="Q15" s="6">
        <f>620000-608685-11315</f>
        <v>0</v>
      </c>
      <c r="R15" s="6"/>
      <c r="S15" s="6"/>
      <c r="T15" s="6">
        <f>250000-118500-15000-116500</f>
        <v>0</v>
      </c>
      <c r="U15" s="6"/>
      <c r="V15" s="6"/>
      <c r="W15" s="6">
        <f>40000+50000</f>
        <v>90000</v>
      </c>
      <c r="X15" s="6">
        <f>10000-10000+10000-10000+30000+20000-36300-13700</f>
        <v>0</v>
      </c>
      <c r="Y15" s="6">
        <f>50000+60000-50000-30000-30000</f>
        <v>0</v>
      </c>
      <c r="Z15" s="7">
        <f>70000-70000+40000-40000+50000-50000+50000+40000+40000-38112.2-50819.98-41067.82+65000-40800-23000</f>
        <v>1200</v>
      </c>
      <c r="AA15" s="7"/>
      <c r="AB15" s="7"/>
      <c r="AC15" s="7">
        <f>85000-79150-5850</f>
        <v>0</v>
      </c>
      <c r="AD15" s="6">
        <f>25000+215000-25000-63800</f>
        <v>151200</v>
      </c>
      <c r="AE15" s="6"/>
      <c r="AF15" s="7">
        <f>57400-18162.25-18162.25-18162.25+57400-18162.25-18162.25</f>
        <v>23988.75</v>
      </c>
    </row>
    <row r="16" spans="1:32" ht="50.25" customHeight="1">
      <c r="A16" s="32" t="s">
        <v>36</v>
      </c>
      <c r="B16" s="8">
        <f>SUM(B4:B15)</f>
        <v>22351948.92</v>
      </c>
      <c r="C16" s="6">
        <f>SUM(C4:C15)</f>
        <v>1647094.4100000008</v>
      </c>
      <c r="D16" s="6">
        <f>SUM(D4:D15)</f>
        <v>659580.3099999999</v>
      </c>
      <c r="E16" s="6">
        <f>SUM(E4:E15)</f>
        <v>0</v>
      </c>
      <c r="F16" s="6">
        <f>SUM(F4:F15)</f>
        <v>73500</v>
      </c>
      <c r="G16" s="8">
        <f aca="true" t="shared" si="1" ref="G16:M16">SUM(G4:G15)</f>
        <v>112500</v>
      </c>
      <c r="H16" s="8">
        <f t="shared" si="1"/>
        <v>53425</v>
      </c>
      <c r="I16" s="8">
        <f t="shared" si="1"/>
        <v>0</v>
      </c>
      <c r="J16" s="15">
        <f t="shared" si="1"/>
        <v>237342.9699999999</v>
      </c>
      <c r="K16" s="15">
        <f t="shared" si="1"/>
        <v>210114</v>
      </c>
      <c r="L16" s="8">
        <f t="shared" si="1"/>
        <v>1000000</v>
      </c>
      <c r="M16" s="8">
        <f t="shared" si="1"/>
        <v>151129.01</v>
      </c>
      <c r="N16" s="9">
        <f aca="true" t="shared" si="2" ref="N16:AF16">SUM(N4:N15)</f>
        <v>-1.1641532182693481E-10</v>
      </c>
      <c r="O16" s="12">
        <f t="shared" si="2"/>
        <v>0</v>
      </c>
      <c r="P16" s="12">
        <f>SUM(P4:P15)</f>
        <v>208950</v>
      </c>
      <c r="Q16" s="21">
        <f t="shared" si="2"/>
        <v>1509690</v>
      </c>
      <c r="R16" s="8">
        <f>SUM(R4:R15)</f>
        <v>0</v>
      </c>
      <c r="S16" s="9">
        <f>SUM(S4:S15)</f>
        <v>9.322320693172514E-12</v>
      </c>
      <c r="T16" s="8">
        <f>SUM(T4:T15)</f>
        <v>0</v>
      </c>
      <c r="U16" s="8">
        <f>SUM(U4:U15)</f>
        <v>0</v>
      </c>
      <c r="V16" s="8">
        <f>SUM(V4:V15)</f>
        <v>0</v>
      </c>
      <c r="W16" s="21">
        <f t="shared" si="2"/>
        <v>1128942</v>
      </c>
      <c r="X16" s="21">
        <f t="shared" si="2"/>
        <v>80380</v>
      </c>
      <c r="Y16" s="21">
        <f>SUM(Y4:Y15)</f>
        <v>390448.83</v>
      </c>
      <c r="Z16" s="22">
        <f t="shared" si="2"/>
        <v>311359.19</v>
      </c>
      <c r="AA16" s="22">
        <f t="shared" si="2"/>
        <v>13720000</v>
      </c>
      <c r="AB16" s="22"/>
      <c r="AC16" s="22">
        <f t="shared" si="2"/>
        <v>102147</v>
      </c>
      <c r="AD16" s="9">
        <f t="shared" si="2"/>
        <v>486500</v>
      </c>
      <c r="AE16" s="9">
        <f t="shared" si="2"/>
        <v>-4.656612873077393E-10</v>
      </c>
      <c r="AF16" s="9">
        <f t="shared" si="2"/>
        <v>268846.20000000007</v>
      </c>
    </row>
    <row r="17" spans="1:25" ht="15">
      <c r="A17" s="4"/>
      <c r="B17" s="5"/>
      <c r="C17" s="14"/>
      <c r="D17" s="14"/>
      <c r="E17" s="14"/>
      <c r="F17" s="14"/>
      <c r="G17" s="14"/>
      <c r="H17" s="14"/>
      <c r="I17" s="14"/>
      <c r="J17" s="14"/>
      <c r="K17" s="1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6"/>
      <c r="Y17" s="16"/>
    </row>
    <row r="18" spans="1:25" ht="12.75">
      <c r="A18" s="4"/>
      <c r="B18" s="5"/>
      <c r="C18" s="5"/>
      <c r="D18" s="5"/>
      <c r="E18" s="5"/>
      <c r="F18" s="5"/>
      <c r="G18" s="5"/>
      <c r="H18" s="5"/>
      <c r="I18" s="5"/>
      <c r="J18" s="16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6"/>
      <c r="Y18" s="16"/>
    </row>
    <row r="19" spans="1:25" ht="12.75">
      <c r="A19" s="4"/>
      <c r="B19" s="5"/>
      <c r="C19" s="5"/>
      <c r="D19" s="5"/>
      <c r="E19" s="5"/>
      <c r="F19" s="5"/>
      <c r="G19" s="5"/>
      <c r="H19" s="5"/>
      <c r="I19" s="5"/>
      <c r="J19" s="16"/>
      <c r="K19" s="1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6"/>
      <c r="Y19" s="16"/>
    </row>
    <row r="20" spans="1:25" ht="12.75">
      <c r="A20" s="4"/>
      <c r="B20" s="5"/>
      <c r="C20" s="5"/>
      <c r="D20" s="5"/>
      <c r="E20" s="5"/>
      <c r="F20" s="5"/>
      <c r="G20" s="5"/>
      <c r="H20" s="5"/>
      <c r="I20" s="5"/>
      <c r="J20" s="16"/>
      <c r="K20" s="1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6"/>
      <c r="Y20" s="16"/>
    </row>
    <row r="21" spans="1:25" ht="12.75">
      <c r="A21" s="4"/>
      <c r="B21" s="5"/>
      <c r="C21" s="5"/>
      <c r="D21" s="5"/>
      <c r="E21" s="5"/>
      <c r="F21" s="5"/>
      <c r="G21" s="5"/>
      <c r="H21" s="5"/>
      <c r="I21" s="5"/>
      <c r="J21" s="16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16"/>
      <c r="Y21" s="16"/>
    </row>
    <row r="22" spans="1:25" ht="12.75">
      <c r="A22" s="4"/>
      <c r="B22" s="5"/>
      <c r="C22" s="5"/>
      <c r="D22" s="5"/>
      <c r="E22" s="5"/>
      <c r="F22" s="5"/>
      <c r="G22" s="5"/>
      <c r="H22" s="5"/>
      <c r="I22" s="5"/>
      <c r="J22" s="16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6"/>
      <c r="Y22" s="16"/>
    </row>
    <row r="23" spans="1:25" ht="12.75">
      <c r="A23" s="4"/>
      <c r="B23" s="5"/>
      <c r="C23" s="5"/>
      <c r="D23" s="5"/>
      <c r="E23" s="5"/>
      <c r="F23" s="5"/>
      <c r="G23" s="5"/>
      <c r="H23" s="5"/>
      <c r="I23" s="5"/>
      <c r="J23" s="16"/>
      <c r="K23" s="1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16"/>
      <c r="Y23" s="16"/>
    </row>
  </sheetData>
  <sheetProtection/>
  <mergeCells count="6">
    <mergeCell ref="A1:AG1"/>
    <mergeCell ref="A2:A3"/>
    <mergeCell ref="B2:B3"/>
    <mergeCell ref="AE2:AF2"/>
    <mergeCell ref="C2:P2"/>
    <mergeCell ref="Q2:AD2"/>
  </mergeCells>
  <printOptions/>
  <pageMargins left="0.25" right="0.25" top="0.75" bottom="0.75" header="0.3" footer="0.3"/>
  <pageSetup fitToHeight="3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3" sqref="B3:B15"/>
    </sheetView>
  </sheetViews>
  <sheetFormatPr defaultColWidth="9.00390625" defaultRowHeight="12.75"/>
  <cols>
    <col min="2" max="2" width="13.125" style="0" bestFit="1" customWidth="1"/>
  </cols>
  <sheetData>
    <row r="1" spans="1:3" ht="12.75">
      <c r="A1" s="34"/>
      <c r="B1" s="34"/>
      <c r="C1" s="34"/>
    </row>
    <row r="2" spans="1:3" ht="12.75">
      <c r="A2" s="34"/>
      <c r="B2" s="34"/>
      <c r="C2" s="34"/>
    </row>
    <row r="3" spans="1:3" ht="12.75">
      <c r="A3" s="34"/>
      <c r="B3" s="34"/>
      <c r="C3" s="34"/>
    </row>
    <row r="4" spans="1:3" ht="12.75">
      <c r="A4" s="34"/>
      <c r="B4" s="34"/>
      <c r="C4" s="34"/>
    </row>
    <row r="5" spans="1:3" ht="12.75">
      <c r="A5" s="34"/>
      <c r="B5" s="34"/>
      <c r="C5" s="34"/>
    </row>
    <row r="6" spans="1:3" ht="12.75">
      <c r="A6" s="34"/>
      <c r="B6" s="34"/>
      <c r="C6" s="34"/>
    </row>
    <row r="7" spans="1:3" ht="12.75">
      <c r="A7" s="34"/>
      <c r="B7" s="34"/>
      <c r="C7" s="34"/>
    </row>
    <row r="8" spans="1:3" ht="12.75">
      <c r="A8" s="34"/>
      <c r="B8" s="34"/>
      <c r="C8" s="34"/>
    </row>
    <row r="9" spans="1:3" ht="12.75">
      <c r="A9" s="34"/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Buh2</cp:lastModifiedBy>
  <cp:lastPrinted>2020-06-20T09:59:54Z</cp:lastPrinted>
  <dcterms:created xsi:type="dcterms:W3CDTF">2010-07-30T05:37:15Z</dcterms:created>
  <dcterms:modified xsi:type="dcterms:W3CDTF">2020-06-23T15:10:52Z</dcterms:modified>
  <cp:category/>
  <cp:version/>
  <cp:contentType/>
  <cp:contentStatus/>
</cp:coreProperties>
</file>